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555" windowHeight="71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参加人数">'Sheet1'!$C$1</definedName>
  </definedNames>
  <calcPr fullCalcOnLoad="1" refMode="R1C1"/>
</workbook>
</file>

<file path=xl/sharedStrings.xml><?xml version="1.0" encoding="utf-8"?>
<sst xmlns="http://schemas.openxmlformats.org/spreadsheetml/2006/main" count="138" uniqueCount="116">
  <si>
    <t>参加人数＝</t>
  </si>
  <si>
    <t>品名</t>
  </si>
  <si>
    <t>数量／人</t>
  </si>
  <si>
    <t>合計数量</t>
  </si>
  <si>
    <t>単価</t>
  </si>
  <si>
    <t>合計金額</t>
  </si>
  <si>
    <t>購入担当／備考</t>
  </si>
  <si>
    <t>炭</t>
  </si>
  <si>
    <t>800</t>
  </si>
  <si>
    <t>1280／6kg</t>
  </si>
  <si>
    <t>竹串</t>
  </si>
  <si>
    <t>200/50本</t>
  </si>
  <si>
    <t>着火剤（固形燃料）</t>
  </si>
  <si>
    <t>紙皿（大）浅</t>
  </si>
  <si>
    <t>1</t>
  </si>
  <si>
    <t>200／10枚</t>
  </si>
  <si>
    <t>材料用</t>
  </si>
  <si>
    <t>紙皿（中）深</t>
  </si>
  <si>
    <t>個人用</t>
  </si>
  <si>
    <t>紙コップ／プラコップ</t>
  </si>
  <si>
    <t>150／10コ</t>
  </si>
  <si>
    <t>割り箸</t>
  </si>
  <si>
    <t>200／20本</t>
  </si>
  <si>
    <t>菜箸（長い箸）</t>
  </si>
  <si>
    <t>プラスプーン</t>
  </si>
  <si>
    <t>200/10本</t>
  </si>
  <si>
    <t>アルミホイール</t>
  </si>
  <si>
    <t>金網</t>
  </si>
  <si>
    <t>1／5～6人</t>
  </si>
  <si>
    <t>385mm×500mm</t>
  </si>
  <si>
    <t>栓抜き</t>
  </si>
  <si>
    <t>2～3</t>
  </si>
  <si>
    <t>バケツ</t>
  </si>
  <si>
    <t>クーラＢＯＸ</t>
  </si>
  <si>
    <t>3～4</t>
  </si>
  <si>
    <t>包丁（ナイフ）</t>
  </si>
  <si>
    <t>まな板</t>
  </si>
  <si>
    <t>うちわ</t>
  </si>
  <si>
    <t>1／釜</t>
  </si>
  <si>
    <t>マッチ</t>
  </si>
  <si>
    <t>2箱</t>
  </si>
  <si>
    <t>古新聞</t>
  </si>
  <si>
    <t>適量</t>
  </si>
  <si>
    <t>軍手</t>
  </si>
  <si>
    <t>ゴミ袋</t>
  </si>
  <si>
    <t>小計</t>
  </si>
  <si>
    <t>なす</t>
  </si>
  <si>
    <t>300／4本</t>
  </si>
  <si>
    <t>ピーマン</t>
  </si>
  <si>
    <t>150／6コ</t>
  </si>
  <si>
    <t>玉ねぎ</t>
  </si>
  <si>
    <t>200／3コ</t>
  </si>
  <si>
    <t>とうもろこし</t>
  </si>
  <si>
    <t>300／2本</t>
  </si>
  <si>
    <t>かぼちゃ</t>
  </si>
  <si>
    <t>200/(1/2)</t>
  </si>
  <si>
    <t>生椎茸</t>
  </si>
  <si>
    <t>3</t>
  </si>
  <si>
    <t>200／6コ</t>
  </si>
  <si>
    <t>キャベツ</t>
  </si>
  <si>
    <t>やきそば用</t>
  </si>
  <si>
    <t>じゃがいも</t>
  </si>
  <si>
    <t>200／5コ</t>
  </si>
  <si>
    <t>生やきそば</t>
  </si>
  <si>
    <t>スイカ（大）</t>
  </si>
  <si>
    <t>青のり</t>
  </si>
  <si>
    <t>牛肉（ロース／肩ロース）</t>
  </si>
  <si>
    <t>400／100g</t>
  </si>
  <si>
    <t>バーベキュー用 50g×7片</t>
  </si>
  <si>
    <t>豚肉（三枚肉）</t>
  </si>
  <si>
    <t>100／100g</t>
  </si>
  <si>
    <t>鶏肉（もも肉／骨付き）</t>
  </si>
  <si>
    <t>バーベキュー用</t>
  </si>
  <si>
    <t>粗びきウィンナソーセージ</t>
  </si>
  <si>
    <t>400／15コ</t>
  </si>
  <si>
    <t>海老（ブラックタイガー）</t>
  </si>
  <si>
    <t>1200／10匹</t>
  </si>
  <si>
    <t>あさり</t>
  </si>
  <si>
    <t>2</t>
  </si>
  <si>
    <t>280/20個</t>
  </si>
  <si>
    <t>バター（小）</t>
  </si>
  <si>
    <t>マーガリンは不可</t>
  </si>
  <si>
    <t>焼き肉のたれ</t>
  </si>
  <si>
    <t>1/5</t>
  </si>
  <si>
    <t>甘×1，辛×2</t>
  </si>
  <si>
    <t>300／中ビン</t>
  </si>
  <si>
    <t>中甘口／辛口</t>
  </si>
  <si>
    <t>塩（卓上ビン入り）</t>
  </si>
  <si>
    <t>1/ビン</t>
  </si>
  <si>
    <t>黒こしょう（卓上ビン入り）</t>
  </si>
  <si>
    <t>醤油（卓上ビン入り）</t>
  </si>
  <si>
    <t>やきそばソース（小）</t>
  </si>
  <si>
    <t>ヘッド（牛脂身）</t>
  </si>
  <si>
    <t>－</t>
  </si>
  <si>
    <t>ビール</t>
  </si>
  <si>
    <t>2×350mι</t>
  </si>
  <si>
    <t>缶ビール</t>
  </si>
  <si>
    <t>烏龍茶</t>
  </si>
  <si>
    <t>0.3ι</t>
  </si>
  <si>
    <t>200／2ι</t>
  </si>
  <si>
    <t>ペットボトル</t>
  </si>
  <si>
    <t>コーラ</t>
  </si>
  <si>
    <t>0.2ι</t>
  </si>
  <si>
    <t>200／1.5ι</t>
  </si>
  <si>
    <t>ミネラルウォータ</t>
  </si>
  <si>
    <t>0.1ι</t>
  </si>
  <si>
    <t>150／1.5ι</t>
  </si>
  <si>
    <t>日本酒</t>
  </si>
  <si>
    <t>紙パック</t>
  </si>
  <si>
    <t>合計</t>
  </si>
  <si>
    <t>自家用車提供</t>
  </si>
  <si>
    <t>\3,000×2</t>
  </si>
  <si>
    <t>高速道路</t>
  </si>
  <si>
    <t>\1,650×2</t>
  </si>
  <si>
    <t>キャンプ場</t>
  </si>
  <si>
    <t>予算総計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</si>
</sst>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&quot;g&quot;"/>
    <numFmt numFmtId="179" formatCode="#0&quot;g&quot;"/>
    <numFmt numFmtId="180" formatCode="#,##0.0_ "/>
    <numFmt numFmtId="181" formatCode="0_);[Red]\(0\)"/>
    <numFmt numFmtId="182" formatCode="0.00_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77" fontId="5" fillId="0" borderId="1" xfId="0" applyNumberFormat="1" applyFont="1" applyBorder="1" applyAlignment="1">
      <alignment horizontal="center"/>
    </xf>
    <xf numFmtId="177" fontId="0" fillId="0" borderId="1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0" fillId="0" borderId="3" xfId="0" applyNumberFormat="1" applyFont="1" applyBorder="1" applyAlignment="1">
      <alignment/>
    </xf>
    <xf numFmtId="177" fontId="6" fillId="0" borderId="9" xfId="0" applyNumberFormat="1" applyFont="1" applyBorder="1" applyAlignment="1">
      <alignment/>
    </xf>
    <xf numFmtId="177" fontId="6" fillId="0" borderId="9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5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177" fontId="5" fillId="0" borderId="0" xfId="0" applyNumberFormat="1" applyFont="1" applyAlignment="1">
      <alignment/>
    </xf>
    <xf numFmtId="13" fontId="0" fillId="0" borderId="0" xfId="0" applyNumberFormat="1" applyAlignment="1">
      <alignment horizontal="center"/>
    </xf>
    <xf numFmtId="13" fontId="5" fillId="0" borderId="1" xfId="0" applyNumberFormat="1" applyFont="1" applyBorder="1" applyAlignment="1">
      <alignment horizontal="center"/>
    </xf>
    <xf numFmtId="13" fontId="0" fillId="0" borderId="3" xfId="0" applyNumberFormat="1" applyFont="1" applyBorder="1" applyAlignment="1">
      <alignment horizontal="center"/>
    </xf>
    <xf numFmtId="13" fontId="0" fillId="0" borderId="1" xfId="0" applyNumberFormat="1" applyFont="1" applyBorder="1" applyAlignment="1">
      <alignment horizontal="center"/>
    </xf>
    <xf numFmtId="13" fontId="6" fillId="0" borderId="9" xfId="0" applyNumberFormat="1" applyFont="1" applyBorder="1" applyAlignment="1">
      <alignment horizontal="center"/>
    </xf>
    <xf numFmtId="13" fontId="4" fillId="0" borderId="0" xfId="0" applyNumberFormat="1" applyFont="1" applyBorder="1" applyAlignment="1">
      <alignment horizontal="center"/>
    </xf>
    <xf numFmtId="13" fontId="6" fillId="0" borderId="9" xfId="0" applyNumberFormat="1" applyFont="1" applyBorder="1" applyAlignment="1">
      <alignment horizontal="center"/>
    </xf>
    <xf numFmtId="13" fontId="5" fillId="0" borderId="11" xfId="0" applyNumberFormat="1" applyFont="1" applyBorder="1" applyAlignment="1">
      <alignment horizontal="center"/>
    </xf>
    <xf numFmtId="13" fontId="0" fillId="0" borderId="0" xfId="0" applyNumberFormat="1" applyAlignment="1">
      <alignment horizontal="left"/>
    </xf>
    <xf numFmtId="177" fontId="0" fillId="0" borderId="1" xfId="0" applyNumberFormat="1" applyFont="1" applyBorder="1" applyAlignment="1">
      <alignment horizontal="center"/>
    </xf>
    <xf numFmtId="179" fontId="0" fillId="0" borderId="3" xfId="0" applyNumberFormat="1" applyFont="1" applyBorder="1" applyAlignment="1">
      <alignment horizontal="center"/>
    </xf>
    <xf numFmtId="177" fontId="0" fillId="0" borderId="0" xfId="0" applyNumberFormat="1" applyAlignment="1">
      <alignment horizontal="left"/>
    </xf>
    <xf numFmtId="181" fontId="0" fillId="0" borderId="1" xfId="0" applyNumberFormat="1" applyFont="1" applyBorder="1" applyAlignment="1">
      <alignment horizontal="center"/>
    </xf>
    <xf numFmtId="181" fontId="0" fillId="0" borderId="9" xfId="0" applyNumberFormat="1" applyFont="1" applyBorder="1" applyAlignment="1">
      <alignment horizontal="center"/>
    </xf>
    <xf numFmtId="182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9525</xdr:rowOff>
    </xdr:from>
    <xdr:to>
      <xdr:col>5</xdr:col>
      <xdr:colOff>0</xdr:colOff>
      <xdr:row>23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657600" y="2295525"/>
          <a:ext cx="1619250" cy="1866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workbookViewId="0" topLeftCell="A1">
      <selection activeCell="A13" sqref="A13"/>
    </sheetView>
  </sheetViews>
  <sheetFormatPr defaultColWidth="9.00390625" defaultRowHeight="13.5"/>
  <cols>
    <col min="1" max="1" width="25.625" style="0" customWidth="1"/>
    <col min="2" max="2" width="10.625" style="41" customWidth="1"/>
    <col min="3" max="3" width="11.75390625" style="2" customWidth="1"/>
    <col min="4" max="4" width="10.625" style="0" customWidth="1"/>
    <col min="5" max="5" width="10.625" style="37" customWidth="1"/>
    <col min="6" max="6" width="30.625" style="0" customWidth="1"/>
  </cols>
  <sheetData>
    <row r="1" spans="2:3" ht="13.5">
      <c r="B1" s="41" t="s">
        <v>0</v>
      </c>
      <c r="C1" s="2">
        <v>7</v>
      </c>
    </row>
    <row r="2" spans="1:6" s="4" customFormat="1" ht="18" thickBot="1">
      <c r="A2" s="3" t="s">
        <v>1</v>
      </c>
      <c r="B2" s="42" t="s">
        <v>2</v>
      </c>
      <c r="C2" s="3" t="s">
        <v>3</v>
      </c>
      <c r="D2" s="3" t="s">
        <v>4</v>
      </c>
      <c r="E2" s="31" t="s">
        <v>5</v>
      </c>
      <c r="F2" s="3" t="s">
        <v>6</v>
      </c>
    </row>
    <row r="3" spans="1:6" s="9" customFormat="1" ht="13.5">
      <c r="A3" s="12" t="s">
        <v>7</v>
      </c>
      <c r="B3" s="51" t="s">
        <v>8</v>
      </c>
      <c r="C3" s="13">
        <f>INT((B3*参加人数+900)/1000)*1000</f>
        <v>6000</v>
      </c>
      <c r="D3" s="15" t="s">
        <v>9</v>
      </c>
      <c r="E3" s="34">
        <f>C3/6000*1280</f>
        <v>1280</v>
      </c>
      <c r="F3" s="16"/>
    </row>
    <row r="4" spans="1:6" s="9" customFormat="1" ht="13.5">
      <c r="A4" s="17" t="s">
        <v>10</v>
      </c>
      <c r="B4" s="44">
        <v>5</v>
      </c>
      <c r="C4" s="8">
        <f>B4*参加人数</f>
        <v>35</v>
      </c>
      <c r="D4" s="7" t="s">
        <v>11</v>
      </c>
      <c r="E4" s="32">
        <f>INT((C4+49)/50)*200</f>
        <v>200</v>
      </c>
      <c r="F4" s="18"/>
    </row>
    <row r="5" spans="1:6" s="9" customFormat="1" ht="13.5">
      <c r="A5" s="17" t="s">
        <v>12</v>
      </c>
      <c r="B5" s="44"/>
      <c r="C5" s="8">
        <f aca="true" t="shared" si="0" ref="C5:C10">B5*参加人数</f>
        <v>0</v>
      </c>
      <c r="D5" s="7">
        <v>300</v>
      </c>
      <c r="E5" s="32">
        <f>D5</f>
        <v>300</v>
      </c>
      <c r="F5" s="18"/>
    </row>
    <row r="6" spans="1:6" s="9" customFormat="1" ht="13.5">
      <c r="A6" s="17" t="s">
        <v>13</v>
      </c>
      <c r="B6" s="44" t="s">
        <v>14</v>
      </c>
      <c r="C6" s="8">
        <f t="shared" si="0"/>
        <v>7</v>
      </c>
      <c r="D6" s="7" t="s">
        <v>15</v>
      </c>
      <c r="E6" s="32">
        <f>INT((C6+9)/10)*200</f>
        <v>200</v>
      </c>
      <c r="F6" s="18" t="s">
        <v>16</v>
      </c>
    </row>
    <row r="7" spans="1:6" s="9" customFormat="1" ht="13.5">
      <c r="A7" s="17" t="s">
        <v>17</v>
      </c>
      <c r="B7" s="44">
        <v>2</v>
      </c>
      <c r="C7" s="8">
        <f t="shared" si="0"/>
        <v>14</v>
      </c>
      <c r="D7" s="7" t="s">
        <v>15</v>
      </c>
      <c r="E7" s="32">
        <f>INT((C7+9)/10)*200</f>
        <v>400</v>
      </c>
      <c r="F7" s="18" t="s">
        <v>18</v>
      </c>
    </row>
    <row r="8" spans="1:6" s="9" customFormat="1" ht="13.5">
      <c r="A8" s="17" t="s">
        <v>19</v>
      </c>
      <c r="B8" s="44">
        <v>1</v>
      </c>
      <c r="C8" s="8">
        <f t="shared" si="0"/>
        <v>7</v>
      </c>
      <c r="D8" s="7" t="s">
        <v>20</v>
      </c>
      <c r="E8" s="32">
        <f>INT((C8+9)/10)*150</f>
        <v>150</v>
      </c>
      <c r="F8" s="18"/>
    </row>
    <row r="9" spans="1:6" s="9" customFormat="1" ht="13.5">
      <c r="A9" s="17" t="s">
        <v>21</v>
      </c>
      <c r="B9" s="44">
        <v>2</v>
      </c>
      <c r="C9" s="8">
        <f t="shared" si="0"/>
        <v>14</v>
      </c>
      <c r="D9" s="7" t="s">
        <v>22</v>
      </c>
      <c r="E9" s="32">
        <f>INT((C9+19)/20)*200</f>
        <v>200</v>
      </c>
      <c r="F9" s="18"/>
    </row>
    <row r="10" spans="1:6" s="9" customFormat="1" ht="13.5">
      <c r="A10" s="17" t="s">
        <v>23</v>
      </c>
      <c r="B10" s="44"/>
      <c r="C10" s="8">
        <f t="shared" si="0"/>
        <v>0</v>
      </c>
      <c r="D10" s="7">
        <v>100</v>
      </c>
      <c r="E10" s="32">
        <f>C10/50*200</f>
        <v>0</v>
      </c>
      <c r="F10" s="18"/>
    </row>
    <row r="11" spans="1:6" s="9" customFormat="1" ht="13.5">
      <c r="A11" s="17" t="s">
        <v>24</v>
      </c>
      <c r="B11" s="44"/>
      <c r="C11" s="8">
        <f>B11*参加人数</f>
        <v>0</v>
      </c>
      <c r="D11" s="7" t="s">
        <v>25</v>
      </c>
      <c r="E11" s="32">
        <f>INT((C11+9)/10)*200</f>
        <v>0</v>
      </c>
      <c r="F11" s="18"/>
    </row>
    <row r="12" spans="1:6" s="9" customFormat="1" ht="13.5">
      <c r="A12" s="17" t="s">
        <v>26</v>
      </c>
      <c r="B12" s="44"/>
      <c r="C12" s="8">
        <f>B12*参加人数</f>
        <v>0</v>
      </c>
      <c r="D12" s="7">
        <v>150</v>
      </c>
      <c r="E12" s="32">
        <f>C12/50*200</f>
        <v>0</v>
      </c>
      <c r="F12" s="18"/>
    </row>
    <row r="13" spans="1:6" s="9" customFormat="1" ht="13.5">
      <c r="A13" s="17"/>
      <c r="B13" s="44"/>
      <c r="C13" s="8"/>
      <c r="D13" s="7"/>
      <c r="E13" s="32"/>
      <c r="F13" s="18"/>
    </row>
    <row r="14" spans="1:6" s="9" customFormat="1" ht="13.5">
      <c r="A14" s="17" t="s">
        <v>27</v>
      </c>
      <c r="B14" s="44"/>
      <c r="C14" s="8" t="s">
        <v>28</v>
      </c>
      <c r="D14" s="7"/>
      <c r="E14" s="32"/>
      <c r="F14" s="18" t="s">
        <v>29</v>
      </c>
    </row>
    <row r="15" spans="1:6" s="9" customFormat="1" ht="13.5">
      <c r="A15" s="17" t="s">
        <v>30</v>
      </c>
      <c r="B15" s="44"/>
      <c r="C15" s="8" t="s">
        <v>31</v>
      </c>
      <c r="D15" s="7"/>
      <c r="E15" s="32"/>
      <c r="F15" s="18"/>
    </row>
    <row r="16" spans="1:6" s="9" customFormat="1" ht="13.5">
      <c r="A16" s="17" t="s">
        <v>32</v>
      </c>
      <c r="B16" s="44"/>
      <c r="C16" s="8">
        <v>1</v>
      </c>
      <c r="D16" s="7"/>
      <c r="E16" s="32"/>
      <c r="F16" s="18"/>
    </row>
    <row r="17" spans="1:6" s="9" customFormat="1" ht="13.5">
      <c r="A17" s="17" t="s">
        <v>33</v>
      </c>
      <c r="B17" s="44"/>
      <c r="C17" s="8" t="s">
        <v>34</v>
      </c>
      <c r="D17" s="7"/>
      <c r="E17" s="32"/>
      <c r="F17" s="18"/>
    </row>
    <row r="18" spans="1:6" s="9" customFormat="1" ht="13.5">
      <c r="A18" s="17" t="s">
        <v>35</v>
      </c>
      <c r="B18" s="44"/>
      <c r="C18" s="8" t="s">
        <v>34</v>
      </c>
      <c r="D18" s="7"/>
      <c r="E18" s="32"/>
      <c r="F18" s="18"/>
    </row>
    <row r="19" spans="1:6" s="9" customFormat="1" ht="13.5">
      <c r="A19" s="17" t="s">
        <v>36</v>
      </c>
      <c r="B19" s="44"/>
      <c r="C19" s="8" t="s">
        <v>34</v>
      </c>
      <c r="D19" s="7"/>
      <c r="E19" s="32"/>
      <c r="F19" s="18"/>
    </row>
    <row r="20" spans="1:6" s="9" customFormat="1" ht="13.5">
      <c r="A20" s="17" t="s">
        <v>37</v>
      </c>
      <c r="B20" s="44"/>
      <c r="C20" s="8" t="s">
        <v>38</v>
      </c>
      <c r="D20" s="7"/>
      <c r="E20" s="32"/>
      <c r="F20" s="18"/>
    </row>
    <row r="21" spans="1:6" s="9" customFormat="1" ht="13.5">
      <c r="A21" s="17" t="s">
        <v>39</v>
      </c>
      <c r="B21" s="44"/>
      <c r="C21" s="8" t="s">
        <v>40</v>
      </c>
      <c r="D21" s="7"/>
      <c r="E21" s="32"/>
      <c r="F21" s="18"/>
    </row>
    <row r="22" spans="1:6" s="9" customFormat="1" ht="13.5">
      <c r="A22" s="17" t="s">
        <v>41</v>
      </c>
      <c r="B22" s="44"/>
      <c r="C22" s="8" t="s">
        <v>42</v>
      </c>
      <c r="D22" s="7"/>
      <c r="E22" s="32"/>
      <c r="F22" s="18"/>
    </row>
    <row r="23" spans="1:6" s="9" customFormat="1" ht="13.5">
      <c r="A23" s="17" t="s">
        <v>43</v>
      </c>
      <c r="B23" s="44"/>
      <c r="C23" s="8" t="s">
        <v>34</v>
      </c>
      <c r="D23" s="7"/>
      <c r="E23" s="32"/>
      <c r="F23" s="18"/>
    </row>
    <row r="24" spans="1:6" s="9" customFormat="1" ht="13.5">
      <c r="A24" s="17" t="s">
        <v>44</v>
      </c>
      <c r="B24" s="44"/>
      <c r="C24" s="8">
        <v>2</v>
      </c>
      <c r="D24" s="7"/>
      <c r="E24" s="32"/>
      <c r="F24" s="18"/>
    </row>
    <row r="25" spans="1:6" s="9" customFormat="1" ht="13.5">
      <c r="A25" s="17"/>
      <c r="B25" s="44"/>
      <c r="C25" s="8"/>
      <c r="D25" s="7"/>
      <c r="E25" s="32"/>
      <c r="F25" s="18"/>
    </row>
    <row r="26" spans="1:6" s="10" customFormat="1" ht="15" thickBot="1">
      <c r="A26" s="23" t="s">
        <v>45</v>
      </c>
      <c r="B26" s="45"/>
      <c r="C26" s="24"/>
      <c r="D26" s="25"/>
      <c r="E26" s="36">
        <f>SUM(E3:E25)</f>
        <v>2730</v>
      </c>
      <c r="F26" s="26"/>
    </row>
    <row r="27" spans="1:6" s="1" customFormat="1" ht="14.25">
      <c r="A27" s="5"/>
      <c r="B27" s="46"/>
      <c r="C27" s="6"/>
      <c r="D27" s="5"/>
      <c r="E27" s="33"/>
      <c r="F27" s="5"/>
    </row>
    <row r="28" spans="1:6" s="4" customFormat="1" ht="18" thickBot="1">
      <c r="A28" s="3" t="s">
        <v>1</v>
      </c>
      <c r="B28" s="42" t="s">
        <v>2</v>
      </c>
      <c r="C28" s="3" t="s">
        <v>3</v>
      </c>
      <c r="D28" s="3" t="s">
        <v>4</v>
      </c>
      <c r="E28" s="31" t="s">
        <v>5</v>
      </c>
      <c r="F28" s="3" t="s">
        <v>6</v>
      </c>
    </row>
    <row r="29" spans="1:6" s="9" customFormat="1" ht="13.5">
      <c r="A29" s="12" t="s">
        <v>46</v>
      </c>
      <c r="B29" s="43">
        <v>1</v>
      </c>
      <c r="C29" s="53">
        <f>B29*参加人数</f>
        <v>7</v>
      </c>
      <c r="D29" s="15" t="s">
        <v>47</v>
      </c>
      <c r="E29" s="34">
        <f>INT((C29+3)/4)*300</f>
        <v>600</v>
      </c>
      <c r="F29" s="16"/>
    </row>
    <row r="30" spans="1:6" s="9" customFormat="1" ht="13.5">
      <c r="A30" s="17" t="s">
        <v>48</v>
      </c>
      <c r="B30" s="44">
        <v>1</v>
      </c>
      <c r="C30" s="53">
        <f>B30*参加人数</f>
        <v>7</v>
      </c>
      <c r="D30" s="7" t="s">
        <v>49</v>
      </c>
      <c r="E30" s="32">
        <f>INT((C30+5)/6)*150</f>
        <v>300</v>
      </c>
      <c r="F30" s="18"/>
    </row>
    <row r="31" spans="1:6" s="9" customFormat="1" ht="13.5">
      <c r="A31" s="17" t="s">
        <v>50</v>
      </c>
      <c r="B31" s="44">
        <v>0.25</v>
      </c>
      <c r="C31" s="53">
        <f>B31*参加人数</f>
        <v>1.75</v>
      </c>
      <c r="D31" s="7" t="s">
        <v>51</v>
      </c>
      <c r="E31" s="32">
        <f>INT((C31+2)/3)*200</f>
        <v>200</v>
      </c>
      <c r="F31" s="18"/>
    </row>
    <row r="32" spans="1:6" s="9" customFormat="1" ht="13.5">
      <c r="A32" s="17" t="s">
        <v>52</v>
      </c>
      <c r="B32" s="44">
        <v>0.5</v>
      </c>
      <c r="C32" s="53">
        <f>INT(B32*参加人数+0.5)</f>
        <v>4</v>
      </c>
      <c r="D32" s="7" t="s">
        <v>53</v>
      </c>
      <c r="E32" s="32">
        <f>INT((C32+1)/2)*300</f>
        <v>600</v>
      </c>
      <c r="F32" s="18"/>
    </row>
    <row r="33" spans="1:6" s="9" customFormat="1" ht="13.5">
      <c r="A33" s="17" t="s">
        <v>54</v>
      </c>
      <c r="B33" s="44">
        <v>0.1</v>
      </c>
      <c r="C33" s="53">
        <f aca="true" t="shared" si="1" ref="C33:C47">B33*参加人数</f>
        <v>0.7000000000000001</v>
      </c>
      <c r="D33" s="7" t="s">
        <v>55</v>
      </c>
      <c r="E33" s="32">
        <f>INT((C33+1)/1)*200</f>
        <v>200</v>
      </c>
      <c r="F33" s="18"/>
    </row>
    <row r="34" spans="1:6" s="9" customFormat="1" ht="13.5">
      <c r="A34" s="17" t="s">
        <v>56</v>
      </c>
      <c r="B34" s="44" t="s">
        <v>57</v>
      </c>
      <c r="C34" s="53">
        <f t="shared" si="1"/>
        <v>21</v>
      </c>
      <c r="D34" s="7" t="s">
        <v>58</v>
      </c>
      <c r="E34" s="32">
        <f>INT((C34+5)/6)*200</f>
        <v>800</v>
      </c>
      <c r="F34" s="18"/>
    </row>
    <row r="35" spans="1:6" s="9" customFormat="1" ht="13.5">
      <c r="A35" s="17" t="s">
        <v>59</v>
      </c>
      <c r="B35" s="44">
        <v>0.06666666666666667</v>
      </c>
      <c r="C35" s="53">
        <f>INT(B35*参加人数*10+9.5)/10</f>
        <v>1.4</v>
      </c>
      <c r="D35" s="7">
        <v>200</v>
      </c>
      <c r="E35" s="32">
        <f>D35*C35</f>
        <v>280</v>
      </c>
      <c r="F35" s="18" t="s">
        <v>60</v>
      </c>
    </row>
    <row r="36" spans="1:6" s="9" customFormat="1" ht="13.5">
      <c r="A36" s="17" t="s">
        <v>61</v>
      </c>
      <c r="B36" s="44">
        <v>0.5</v>
      </c>
      <c r="C36" s="53">
        <f>INT(B36*参加人数+0.5)</f>
        <v>4</v>
      </c>
      <c r="D36" s="7" t="s">
        <v>62</v>
      </c>
      <c r="E36" s="32">
        <f>INT((C36+4)/5)*200</f>
        <v>200</v>
      </c>
      <c r="F36" s="18"/>
    </row>
    <row r="37" spans="1:6" s="9" customFormat="1" ht="13.5">
      <c r="A37" s="17" t="s">
        <v>63</v>
      </c>
      <c r="B37" s="44">
        <v>0.5</v>
      </c>
      <c r="C37" s="53">
        <f>INT(B37*参加人数+0.5)</f>
        <v>4</v>
      </c>
      <c r="D37" s="7">
        <v>50</v>
      </c>
      <c r="E37" s="32">
        <f>D37*C37</f>
        <v>200</v>
      </c>
      <c r="F37" s="18"/>
    </row>
    <row r="38" spans="1:6" s="9" customFormat="1" ht="13.5">
      <c r="A38" s="17" t="s">
        <v>64</v>
      </c>
      <c r="B38" s="44"/>
      <c r="C38" s="53">
        <f t="shared" si="1"/>
        <v>0</v>
      </c>
      <c r="D38" s="7">
        <v>2000</v>
      </c>
      <c r="E38" s="32">
        <f>INT((C38+9)/10)*200</f>
        <v>0</v>
      </c>
      <c r="F38" s="18"/>
    </row>
    <row r="39" spans="1:6" s="9" customFormat="1" ht="13.5">
      <c r="A39" s="17" t="s">
        <v>65</v>
      </c>
      <c r="B39" s="44"/>
      <c r="C39" s="53">
        <f t="shared" si="1"/>
        <v>0</v>
      </c>
      <c r="D39" s="7"/>
      <c r="E39" s="32"/>
      <c r="F39" s="18" t="s">
        <v>60</v>
      </c>
    </row>
    <row r="40" spans="1:6" s="9" customFormat="1" ht="13.5">
      <c r="A40" s="17"/>
      <c r="B40" s="44"/>
      <c r="C40" s="53">
        <f t="shared" si="1"/>
        <v>0</v>
      </c>
      <c r="D40" s="7"/>
      <c r="E40" s="32"/>
      <c r="F40" s="18"/>
    </row>
    <row r="41" spans="1:6" s="11" customFormat="1" ht="15" thickBot="1">
      <c r="A41" s="19" t="s">
        <v>45</v>
      </c>
      <c r="B41" s="47"/>
      <c r="C41" s="54">
        <f t="shared" si="1"/>
        <v>0</v>
      </c>
      <c r="D41" s="21"/>
      <c r="E41" s="35">
        <f>SUM(E29:E39)</f>
        <v>3380</v>
      </c>
      <c r="F41" s="22"/>
    </row>
    <row r="42" spans="1:6" s="9" customFormat="1" ht="13.5">
      <c r="A42" s="12" t="s">
        <v>66</v>
      </c>
      <c r="B42" s="43">
        <v>150</v>
      </c>
      <c r="C42" s="50">
        <f t="shared" si="1"/>
        <v>1050</v>
      </c>
      <c r="D42" s="15" t="s">
        <v>67</v>
      </c>
      <c r="E42" s="34">
        <f>INT((C42+99)/100)*400</f>
        <v>4400</v>
      </c>
      <c r="F42" s="16" t="s">
        <v>68</v>
      </c>
    </row>
    <row r="43" spans="1:6" s="9" customFormat="1" ht="13.5">
      <c r="A43" s="17" t="s">
        <v>69</v>
      </c>
      <c r="B43" s="44">
        <v>20</v>
      </c>
      <c r="C43" s="8">
        <f t="shared" si="1"/>
        <v>140</v>
      </c>
      <c r="D43" s="7" t="s">
        <v>70</v>
      </c>
      <c r="E43" s="32">
        <f>INT((C43+99)/100)*100</f>
        <v>200</v>
      </c>
      <c r="F43" s="18" t="s">
        <v>60</v>
      </c>
    </row>
    <row r="44" spans="1:6" s="9" customFormat="1" ht="13.5">
      <c r="A44" s="17" t="s">
        <v>71</v>
      </c>
      <c r="B44" s="44">
        <v>50</v>
      </c>
      <c r="C44" s="8">
        <f t="shared" si="1"/>
        <v>350</v>
      </c>
      <c r="D44" s="7" t="s">
        <v>70</v>
      </c>
      <c r="E44" s="32">
        <f>INT((C44+99)/100)*100</f>
        <v>400</v>
      </c>
      <c r="F44" s="18" t="s">
        <v>72</v>
      </c>
    </row>
    <row r="45" spans="1:6" s="9" customFormat="1" ht="13.5">
      <c r="A45" s="17" t="s">
        <v>73</v>
      </c>
      <c r="B45" s="44">
        <v>3</v>
      </c>
      <c r="C45" s="8">
        <f t="shared" si="1"/>
        <v>21</v>
      </c>
      <c r="D45" s="7" t="s">
        <v>74</v>
      </c>
      <c r="E45" s="32">
        <f>INT((C45+14)/15)*400</f>
        <v>800</v>
      </c>
      <c r="F45" s="18"/>
    </row>
    <row r="46" spans="1:6" s="9" customFormat="1" ht="13.5">
      <c r="A46" s="17" t="s">
        <v>75</v>
      </c>
      <c r="B46" s="44">
        <v>2</v>
      </c>
      <c r="C46" s="8">
        <f t="shared" si="1"/>
        <v>14</v>
      </c>
      <c r="D46" s="7" t="s">
        <v>76</v>
      </c>
      <c r="E46" s="32">
        <f>INT((C46+9)/10)*1200</f>
        <v>2400</v>
      </c>
      <c r="F46" s="18"/>
    </row>
    <row r="47" spans="1:6" s="9" customFormat="1" ht="13.5">
      <c r="A47" s="17" t="s">
        <v>77</v>
      </c>
      <c r="B47" s="44" t="s">
        <v>78</v>
      </c>
      <c r="C47" s="8">
        <f t="shared" si="1"/>
        <v>14</v>
      </c>
      <c r="D47" s="7" t="s">
        <v>79</v>
      </c>
      <c r="E47" s="32">
        <f>INT((C47+19)/20)*280</f>
        <v>280</v>
      </c>
      <c r="F47" s="18"/>
    </row>
    <row r="48" spans="1:6" s="9" customFormat="1" ht="13.5">
      <c r="A48" s="17"/>
      <c r="B48" s="44"/>
      <c r="C48" s="8"/>
      <c r="D48" s="7"/>
      <c r="E48" s="32"/>
      <c r="F48" s="18"/>
    </row>
    <row r="49" spans="1:6" s="10" customFormat="1" ht="15" thickBot="1">
      <c r="A49" s="23" t="s">
        <v>45</v>
      </c>
      <c r="B49" s="45"/>
      <c r="C49" s="24"/>
      <c r="D49" s="25"/>
      <c r="E49" s="36">
        <f>SUM(E42:E48)</f>
        <v>8480</v>
      </c>
      <c r="F49" s="26"/>
    </row>
    <row r="50" spans="1:6" s="9" customFormat="1" ht="13.5">
      <c r="A50" s="12" t="s">
        <v>80</v>
      </c>
      <c r="B50" s="43"/>
      <c r="C50" s="13">
        <v>1</v>
      </c>
      <c r="D50" s="15">
        <v>300</v>
      </c>
      <c r="E50" s="34">
        <f>D50</f>
        <v>300</v>
      </c>
      <c r="F50" s="16" t="s">
        <v>81</v>
      </c>
    </row>
    <row r="51" spans="1:6" s="9" customFormat="1" ht="13.5">
      <c r="A51" s="17" t="s">
        <v>82</v>
      </c>
      <c r="B51" s="44" t="s">
        <v>83</v>
      </c>
      <c r="C51" s="8" t="s">
        <v>84</v>
      </c>
      <c r="D51" s="7" t="s">
        <v>85</v>
      </c>
      <c r="E51" s="32">
        <f>300*3</f>
        <v>900</v>
      </c>
      <c r="F51" s="18" t="s">
        <v>86</v>
      </c>
    </row>
    <row r="52" spans="1:6" s="9" customFormat="1" ht="13.5">
      <c r="A52" s="17" t="s">
        <v>87</v>
      </c>
      <c r="B52" s="44"/>
      <c r="C52" s="8" t="s">
        <v>88</v>
      </c>
      <c r="D52" s="7">
        <v>100</v>
      </c>
      <c r="E52" s="32">
        <f>D52</f>
        <v>100</v>
      </c>
      <c r="F52" s="18"/>
    </row>
    <row r="53" spans="1:6" s="9" customFormat="1" ht="13.5">
      <c r="A53" s="17" t="s">
        <v>89</v>
      </c>
      <c r="B53" s="44"/>
      <c r="C53" s="8" t="s">
        <v>88</v>
      </c>
      <c r="D53" s="7">
        <v>300</v>
      </c>
      <c r="E53" s="32">
        <f>D53</f>
        <v>300</v>
      </c>
      <c r="F53" s="18"/>
    </row>
    <row r="54" spans="1:6" s="9" customFormat="1" ht="13.5">
      <c r="A54" s="17" t="s">
        <v>90</v>
      </c>
      <c r="B54" s="44"/>
      <c r="C54" s="8">
        <v>1</v>
      </c>
      <c r="D54" s="7">
        <v>200</v>
      </c>
      <c r="E54" s="32">
        <f>D54</f>
        <v>200</v>
      </c>
      <c r="F54" s="18"/>
    </row>
    <row r="55" spans="1:6" s="9" customFormat="1" ht="13.5">
      <c r="A55" s="17" t="s">
        <v>91</v>
      </c>
      <c r="B55" s="44"/>
      <c r="C55" s="8">
        <v>1</v>
      </c>
      <c r="D55" s="7">
        <v>300</v>
      </c>
      <c r="E55" s="32">
        <f>D55</f>
        <v>300</v>
      </c>
      <c r="F55" s="18" t="s">
        <v>60</v>
      </c>
    </row>
    <row r="56" spans="1:6" s="9" customFormat="1" ht="13.5">
      <c r="A56" s="17" t="s">
        <v>92</v>
      </c>
      <c r="B56" s="44"/>
      <c r="C56" s="8">
        <v>8</v>
      </c>
      <c r="D56" s="7" t="s">
        <v>93</v>
      </c>
      <c r="E56" s="32">
        <f>INT((C56+2)/3)*200</f>
        <v>600</v>
      </c>
      <c r="F56" s="18" t="s">
        <v>60</v>
      </c>
    </row>
    <row r="57" spans="1:6" s="9" customFormat="1" ht="13.5">
      <c r="A57" s="17"/>
      <c r="B57" s="44"/>
      <c r="C57" s="8"/>
      <c r="D57" s="7"/>
      <c r="E57" s="32"/>
      <c r="F57" s="18"/>
    </row>
    <row r="58" spans="1:6" s="11" customFormat="1" ht="15" thickBot="1">
      <c r="A58" s="19" t="s">
        <v>45</v>
      </c>
      <c r="B58" s="47"/>
      <c r="C58" s="20"/>
      <c r="D58" s="21"/>
      <c r="E58" s="35">
        <f>SUM(E50:E56)</f>
        <v>2700</v>
      </c>
      <c r="F58" s="22"/>
    </row>
    <row r="59" spans="1:6" s="9" customFormat="1" ht="13.5">
      <c r="A59" s="12" t="s">
        <v>94</v>
      </c>
      <c r="B59" s="43" t="s">
        <v>95</v>
      </c>
      <c r="C59" s="13">
        <f>参加人数*2</f>
        <v>14</v>
      </c>
      <c r="D59" s="14">
        <v>250</v>
      </c>
      <c r="E59" s="34">
        <f>C59*D59</f>
        <v>3500</v>
      </c>
      <c r="F59" s="16" t="s">
        <v>96</v>
      </c>
    </row>
    <row r="60" spans="1:6" s="9" customFormat="1" ht="13.5">
      <c r="A60" s="17" t="s">
        <v>97</v>
      </c>
      <c r="B60" s="44" t="s">
        <v>98</v>
      </c>
      <c r="C60" s="8">
        <f>ROUND((0.3*参加人数*10+9)/10,0)</f>
        <v>3</v>
      </c>
      <c r="D60" s="7" t="s">
        <v>99</v>
      </c>
      <c r="E60" s="32">
        <f>INT((C60)*200)</f>
        <v>600</v>
      </c>
      <c r="F60" s="18" t="s">
        <v>100</v>
      </c>
    </row>
    <row r="61" spans="1:6" s="9" customFormat="1" ht="13.5">
      <c r="A61" s="17" t="s">
        <v>101</v>
      </c>
      <c r="B61" s="44" t="s">
        <v>102</v>
      </c>
      <c r="C61" s="8">
        <f>ROUND((0.2*参加人数*10+9)/10,0)</f>
        <v>2</v>
      </c>
      <c r="D61" s="7" t="s">
        <v>103</v>
      </c>
      <c r="E61" s="32">
        <f>INT((C61))*200</f>
        <v>400</v>
      </c>
      <c r="F61" s="18" t="s">
        <v>100</v>
      </c>
    </row>
    <row r="62" spans="1:6" s="9" customFormat="1" ht="13.5">
      <c r="A62" s="17" t="s">
        <v>104</v>
      </c>
      <c r="B62" s="44" t="s">
        <v>105</v>
      </c>
      <c r="C62" s="8">
        <f>ROUND((0.1*参加人数*10+9)/10,0)</f>
        <v>2</v>
      </c>
      <c r="D62" s="7" t="s">
        <v>106</v>
      </c>
      <c r="E62" s="32">
        <f>INT((C62))*150</f>
        <v>300</v>
      </c>
      <c r="F62" s="18" t="s">
        <v>100</v>
      </c>
    </row>
    <row r="63" spans="1:6" s="9" customFormat="1" ht="13.5">
      <c r="A63" s="17" t="s">
        <v>107</v>
      </c>
      <c r="B63" s="44"/>
      <c r="C63" s="8"/>
      <c r="D63" s="7"/>
      <c r="E63" s="32">
        <f>INT((C63+9)/10)*1200</f>
        <v>0</v>
      </c>
      <c r="F63" s="18" t="s">
        <v>108</v>
      </c>
    </row>
    <row r="64" spans="1:6" s="9" customFormat="1" ht="13.5">
      <c r="A64" s="17"/>
      <c r="B64" s="44"/>
      <c r="C64" s="8"/>
      <c r="D64" s="7"/>
      <c r="E64" s="32"/>
      <c r="F64" s="18"/>
    </row>
    <row r="65" spans="1:6" s="11" customFormat="1" ht="15" thickBot="1">
      <c r="A65" s="19" t="s">
        <v>45</v>
      </c>
      <c r="B65" s="47"/>
      <c r="C65" s="20"/>
      <c r="D65" s="21"/>
      <c r="E65" s="35">
        <f>SUM(E59:E63)</f>
        <v>4800</v>
      </c>
      <c r="F65" s="22"/>
    </row>
    <row r="66" ht="14.25" thickBot="1"/>
    <row r="67" spans="1:6" s="30" customFormat="1" ht="18" thickBot="1">
      <c r="A67" s="27" t="s">
        <v>109</v>
      </c>
      <c r="B67" s="48"/>
      <c r="C67" s="28"/>
      <c r="D67" s="27"/>
      <c r="E67" s="38">
        <f>E26+E41+E49+E58+E65</f>
        <v>22090</v>
      </c>
      <c r="F67" s="29"/>
    </row>
    <row r="69" spans="1:5" ht="13.5">
      <c r="A69" s="39" t="s">
        <v>110</v>
      </c>
      <c r="B69" s="49" t="s">
        <v>111</v>
      </c>
      <c r="C69" s="39"/>
      <c r="D69" s="39"/>
      <c r="E69" s="52">
        <f>3000*2</f>
        <v>6000</v>
      </c>
    </row>
    <row r="70" spans="1:5" ht="13.5">
      <c r="A70" s="39" t="s">
        <v>112</v>
      </c>
      <c r="B70" s="49" t="s">
        <v>113</v>
      </c>
      <c r="C70" s="39"/>
      <c r="D70" s="39"/>
      <c r="E70" s="52">
        <f>1650*2</f>
        <v>3300</v>
      </c>
    </row>
    <row r="71" spans="1:6" ht="13.5">
      <c r="A71" s="39" t="s">
        <v>114</v>
      </c>
      <c r="B71" s="49"/>
      <c r="C71" s="39"/>
      <c r="D71" s="39"/>
      <c r="E71" s="52"/>
      <c r="F71" s="55">
        <f>F72-(E72/参加人数)</f>
        <v>15.714285714285325</v>
      </c>
    </row>
    <row r="72" spans="4:6" ht="17.25">
      <c r="D72" s="30" t="s">
        <v>115</v>
      </c>
      <c r="E72" s="40">
        <f>SUM(E67:E71)</f>
        <v>31390</v>
      </c>
      <c r="F72" s="37">
        <f>INT((E72/参加人数+99)/100)*100</f>
        <v>4500</v>
      </c>
    </row>
  </sheetData>
  <printOptions/>
  <pageMargins left="0.99" right="0.75" top="0.59" bottom="0.76" header="0.37" footer="0.512"/>
  <pageSetup fitToHeight="1" fitToWidth="1" horizontalDpi="300" verticalDpi="300" orientation="portrait" paperSize="9" scale="81" r:id="rId2"/>
  <headerFooter alignWithMargins="0">
    <oddHeader>&amp;C&amp;A</oddHeader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1997-09-05T02:19:23Z</cp:lastPrinted>
  <dcterms:created xsi:type="dcterms:W3CDTF">1996-06-18T07:49:42Z</dcterms:created>
  <dcterms:modified xsi:type="dcterms:W3CDTF">2009-03-23T10:05:20Z</dcterms:modified>
  <cp:category/>
  <cp:version/>
  <cp:contentType/>
  <cp:contentStatus/>
</cp:coreProperties>
</file>